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<sst xmlns="http://schemas.openxmlformats.org/spreadsheetml/2006/main" count="2845" uniqueCount="2063">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</sst>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5606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1021</v>
      </c>
      <c r="O6" s="1010"/>
      <c r="P6" s="1047">
        <f>OTCHET!F9</f>
        <v>43039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5524</v>
      </c>
      <c r="K50" s="1097"/>
      <c r="L50" s="1104">
        <f>+IF($P$2=33,$Q50,0)</f>
        <v>0</v>
      </c>
      <c r="M50" s="1097"/>
      <c r="N50" s="1134">
        <f>+ROUND(+G50+J50+L50,0)</f>
        <v>5524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5524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5524</v>
      </c>
      <c r="K55" s="1097"/>
      <c r="L55" s="1210">
        <f>+ROUND(+SUM(L50:L54),0)</f>
        <v>0</v>
      </c>
      <c r="M55" s="1097"/>
      <c r="N55" s="1211">
        <f>+ROUND(+SUM(N50:N54),0)</f>
        <v>5524</v>
      </c>
      <c r="O55" s="1099"/>
      <c r="P55" s="1209">
        <f>+ROUND(+SUM(P50:P54),0)</f>
        <v>0</v>
      </c>
      <c r="Q55" s="1210">
        <f>+ROUND(+SUM(Q50:Q54),0)</f>
        <v>5524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5524</v>
      </c>
      <c r="K76" s="1097"/>
      <c r="L76" s="1235">
        <f>+ROUND(L55+L62+L66+L70+L74,0)</f>
        <v>0</v>
      </c>
      <c r="M76" s="1097"/>
      <c r="N76" s="1236">
        <f>+ROUND(N55+N62+N66+N70+N74,0)</f>
        <v>5524</v>
      </c>
      <c r="O76" s="1099"/>
      <c r="P76" s="1233">
        <f>+ROUND(P55+P62+P66+P70+P74,0)</f>
        <v>0</v>
      </c>
      <c r="Q76" s="1234">
        <f>+ROUND(Q55+Q62+Q66+Q70+Q74,0)</f>
        <v>5524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6602</v>
      </c>
      <c r="K78" s="1097"/>
      <c r="L78" s="1110">
        <f>+IF($P$2=33,$Q78,0)</f>
        <v>0</v>
      </c>
      <c r="M78" s="1097"/>
      <c r="N78" s="1111">
        <f>+ROUND(+G78+J78+L78,0)</f>
        <v>6602</v>
      </c>
      <c r="O78" s="1099"/>
      <c r="P78" s="1109">
        <f>+ROUND(OTCHET!E415,0)</f>
        <v>0</v>
      </c>
      <c r="Q78" s="1110">
        <f>+ROUND(OTCHET!L415,0)</f>
        <v>6602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2000</v>
      </c>
      <c r="K79" s="1097"/>
      <c r="L79" s="1122">
        <f>+IF($P$2=33,$Q79,0)</f>
        <v>0</v>
      </c>
      <c r="M79" s="1097"/>
      <c r="N79" s="1123">
        <f>+ROUND(+G79+J79+L79,0)</f>
        <v>2000</v>
      </c>
      <c r="O79" s="1099"/>
      <c r="P79" s="1121">
        <f>+ROUND(OTCHET!E425,0)</f>
        <v>0</v>
      </c>
      <c r="Q79" s="1122">
        <f>+ROUND(OTCHET!L425,0)</f>
        <v>2000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8602</v>
      </c>
      <c r="K80" s="1097"/>
      <c r="L80" s="1244">
        <f>+ROUND(L78+L79,0)</f>
        <v>0</v>
      </c>
      <c r="M80" s="1097"/>
      <c r="N80" s="1245">
        <f>+ROUND(N78+N79,0)</f>
        <v>8602</v>
      </c>
      <c r="O80" s="1099"/>
      <c r="P80" s="1243">
        <f>+ROUND(P78+P79,0)</f>
        <v>0</v>
      </c>
      <c r="Q80" s="1244">
        <f>+ROUND(Q78+Q79,0)</f>
        <v>8602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3079</v>
      </c>
      <c r="K82" s="1097"/>
      <c r="L82" s="1257">
        <f>+ROUND(L47,0)-ROUND(L76,0)+ROUND(L80,0)</f>
        <v>0</v>
      </c>
      <c r="M82" s="1097"/>
      <c r="N82" s="1258">
        <f>+ROUND(N47,0)-ROUND(N76,0)+ROUND(N80,0)</f>
        <v>3079</v>
      </c>
      <c r="O82" s="1259"/>
      <c r="P82" s="1256">
        <f>+ROUND(P47,0)-ROUND(P76,0)+ROUND(P80,0)</f>
        <v>0</v>
      </c>
      <c r="Q82" s="1257">
        <f>+ROUND(Q47,0)-ROUND(Q76,0)+ROUND(Q80,0)</f>
        <v>3079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-3079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-3079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-3079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3201</v>
      </c>
      <c r="K129" s="1097"/>
      <c r="L129" s="1122">
        <f>+IF($P$2=33,$Q129,0)</f>
        <v>0</v>
      </c>
      <c r="M129" s="1097"/>
      <c r="N129" s="1123">
        <f>+ROUND(+G129+J129+L129,0)</f>
        <v>3201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3201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3079</v>
      </c>
      <c r="K130" s="1097"/>
      <c r="L130" s="1297">
        <f>+ROUND(+L129-L127-L128,0)</f>
        <v>0</v>
      </c>
      <c r="M130" s="1097"/>
      <c r="N130" s="1298">
        <f>+ROUND(+N129-N127-N128,0)</f>
        <v>3079</v>
      </c>
      <c r="O130" s="1099"/>
      <c r="P130" s="1296">
        <f>+ROUND(+P129-P127-P128,0)</f>
        <v>0</v>
      </c>
      <c r="Q130" s="1297">
        <f>+ROUND(+Q129-Q127-Q128,0)</f>
        <v>3079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43039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5524</v>
      </c>
      <c r="G38" s="849">
        <f>SUM(G39:G53)-G44-G46-G51-G52</f>
        <v>5524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5524</v>
      </c>
      <c r="G42" s="817">
        <f>+OTCHET!I204+OTCHET!I222+OTCHET!I271</f>
        <v>5524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8602</v>
      </c>
      <c r="G54" s="895">
        <f>+G55+G56+G60</f>
        <v>8602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8602</v>
      </c>
      <c r="G56" s="904">
        <f>+OTCHET!I379+OTCHET!I387+OTCHET!I392+OTCHET!I395+OTCHET!I398+OTCHET!I401+OTCHET!I402+OTCHET!I405+OTCHET!I418+OTCHET!I419+OTCHET!I420+OTCHET!I421+OTCHET!I422</f>
        <v>8602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2000</v>
      </c>
      <c r="G57" s="908">
        <f>+OTCHET!I418+OTCHET!I419+OTCHET!I420+OTCHET!I421+OTCHET!I422</f>
        <v>2000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3079</v>
      </c>
      <c r="G62" s="930">
        <f>+G22-G38+G54-G61</f>
        <v>3079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-3079</v>
      </c>
      <c r="G64" s="940">
        <f>SUM(+G66+G74+G75+G82+G83+G84+G87+G88+G89+G90+G91+G92+G93)</f>
        <v>-3079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-3201</v>
      </c>
      <c r="G89" s="817">
        <f>+OTCHET!I569+OTCHET!I570+OTCHET!I571+OTCHET!I572+OTCHET!I573+OTCHET!I574+OTCHET!I575</f>
        <v>-3201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43039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октомври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985</v>
      </c>
      <c r="F12" s="1592" t="s">
        <v>1449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Криводол</v>
      </c>
      <c r="C178" s="1776"/>
      <c r="D178" s="177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5524</v>
      </c>
      <c r="J204" s="276">
        <f t="shared" si="49"/>
        <v>0</v>
      </c>
      <c r="K204" s="277">
        <f t="shared" si="49"/>
        <v>0</v>
      </c>
      <c r="L204" s="311">
        <f t="shared" si="49"/>
        <v>5524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5524</v>
      </c>
      <c r="J205" s="284">
        <f t="shared" si="50"/>
        <v>0</v>
      </c>
      <c r="K205" s="285">
        <f t="shared" si="50"/>
        <v>0</v>
      </c>
      <c r="L205" s="282">
        <f t="shared" si="50"/>
        <v>5524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5524</v>
      </c>
      <c r="J301" s="398">
        <f t="shared" si="79"/>
        <v>0</v>
      </c>
      <c r="K301" s="399">
        <f t="shared" si="79"/>
        <v>0</v>
      </c>
      <c r="L301" s="396">
        <f t="shared" si="79"/>
        <v>5524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Криводол</v>
      </c>
      <c r="C349" s="1776"/>
      <c r="D349" s="177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1100</v>
      </c>
      <c r="J392" s="445">
        <f t="shared" si="91"/>
        <v>0</v>
      </c>
      <c r="K392" s="446">
        <f>SUM(K393:K394)</f>
        <v>0</v>
      </c>
      <c r="L392" s="1380">
        <f t="shared" si="91"/>
        <v>1100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1100</v>
      </c>
      <c r="J393" s="153">
        <v>0</v>
      </c>
      <c r="K393" s="154">
        <v>0</v>
      </c>
      <c r="L393" s="1381">
        <f>I393+J393+K393</f>
        <v>1100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5502</v>
      </c>
      <c r="J395" s="1655">
        <f t="shared" si="92"/>
        <v>0</v>
      </c>
      <c r="K395" s="446">
        <f>SUM(K396:K397)</f>
        <v>0</v>
      </c>
      <c r="L395" s="1380">
        <f t="shared" si="92"/>
        <v>5502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5502</v>
      </c>
      <c r="J396" s="1647">
        <v>0</v>
      </c>
      <c r="K396" s="1653">
        <v>0</v>
      </c>
      <c r="L396" s="1381">
        <f>I396+J396+K396</f>
        <v>5502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6602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6602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2350</v>
      </c>
      <c r="J420" s="1631">
        <v>0</v>
      </c>
      <c r="K420" s="1481">
        <v>0</v>
      </c>
      <c r="L420" s="1380">
        <f>I420+J420+K420</f>
        <v>2350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>
        <v>0</v>
      </c>
      <c r="G421" s="486">
        <v>0</v>
      </c>
      <c r="H421" s="1481">
        <v>0</v>
      </c>
      <c r="I421" s="485">
        <v>-350</v>
      </c>
      <c r="J421" s="486">
        <v>0</v>
      </c>
      <c r="K421" s="1481">
        <v>0</v>
      </c>
      <c r="L421" s="1380">
        <f>I421+J421+K421</f>
        <v>-350</v>
      </c>
      <c r="M421" s="7">
        <f>(IF($E421&lt;&gt;0,$M$2,IF($L421&lt;&gt;0,$M$2,"")))</f>
        <v>1</v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2000</v>
      </c>
      <c r="J425" s="515">
        <f t="shared" si="100"/>
        <v>0</v>
      </c>
      <c r="K425" s="516">
        <f t="shared" si="100"/>
        <v>0</v>
      </c>
      <c r="L425" s="513">
        <f t="shared" si="100"/>
        <v>2000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Криводол</v>
      </c>
      <c r="C434" s="1776"/>
      <c r="D434" s="177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3079</v>
      </c>
      <c r="J441" s="548">
        <f t="shared" si="103"/>
        <v>0</v>
      </c>
      <c r="K441" s="549">
        <f t="shared" si="103"/>
        <v>0</v>
      </c>
      <c r="L441" s="550">
        <f t="shared" si="103"/>
        <v>3079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-3079</v>
      </c>
      <c r="J442" s="555">
        <f t="shared" si="104"/>
        <v>0</v>
      </c>
      <c r="K442" s="556">
        <f t="shared" si="104"/>
        <v>0</v>
      </c>
      <c r="L442" s="557">
        <f>+L593</f>
        <v>-3079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Криводол</v>
      </c>
      <c r="C450" s="1776"/>
      <c r="D450" s="177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-3079</v>
      </c>
      <c r="J562" s="581">
        <f t="shared" si="133"/>
        <v>0</v>
      </c>
      <c r="K562" s="582">
        <f t="shared" si="133"/>
        <v>0</v>
      </c>
      <c r="L562" s="579">
        <f t="shared" si="133"/>
        <v>-3079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-3201</v>
      </c>
      <c r="J569" s="153">
        <v>0</v>
      </c>
      <c r="K569" s="1669">
        <v>0</v>
      </c>
      <c r="L569" s="1395">
        <f t="shared" si="134"/>
        <v>-3201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-3079</v>
      </c>
      <c r="J593" s="665">
        <f t="shared" si="138"/>
        <v>0</v>
      </c>
      <c r="K593" s="667">
        <f t="shared" si="138"/>
        <v>0</v>
      </c>
      <c r="L593" s="663">
        <f t="shared" si="138"/>
        <v>-3079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/>
      <c r="F601" s="678"/>
      <c r="G601" s="679" t="s">
        <v>903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43039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5524</v>
      </c>
      <c r="J642" s="276">
        <f t="shared" si="145"/>
        <v>0</v>
      </c>
      <c r="K642" s="277">
        <f t="shared" si="145"/>
        <v>0</v>
      </c>
      <c r="L642" s="311">
        <f t="shared" si="145"/>
        <v>5524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5524</v>
      </c>
      <c r="J643" s="153">
        <v>0</v>
      </c>
      <c r="K643" s="1421">
        <v>0</v>
      </c>
      <c r="L643" s="282">
        <f aca="true" t="shared" si="147" ref="L643:L659">I643+J643+K643</f>
        <v>5524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5524</v>
      </c>
      <c r="J740" s="398">
        <f t="shared" si="173"/>
        <v>0</v>
      </c>
      <c r="K740" s="399">
        <f t="shared" si="173"/>
        <v>0</v>
      </c>
      <c r="L740" s="396">
        <f t="shared" si="173"/>
        <v>5524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2017-11-10T09:58:36Z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